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Instructions" sheetId="1" r:id="rId1"/>
    <sheet name="Specifications" sheetId="2" r:id="rId2"/>
  </sheets>
  <definedNames>
    <definedName name="Ac">'Specifications'!$H$24</definedName>
    <definedName name="At">'Specifications'!$H$23</definedName>
    <definedName name="Cp">'Specifications'!$H$13</definedName>
    <definedName name="Cpd">'Specifications'!$G$13</definedName>
    <definedName name="Cpi">'Specifications'!$E$13</definedName>
    <definedName name="Cs" localSheetId="1">'Specifications'!$H$17</definedName>
    <definedName name="Cs">#REF!</definedName>
    <definedName name="Csd">'Specifications'!$G$17</definedName>
    <definedName name="Csi">'Specifications'!$E$17</definedName>
    <definedName name="D" localSheetId="1">'Specifications'!$H$15</definedName>
    <definedName name="D">#REF!</definedName>
    <definedName name="Dd">'Specifications'!$G$15</definedName>
    <definedName name="Di">'Specifications'!$E$15</definedName>
    <definedName name="f" localSheetId="1">'Specifications'!$H$19</definedName>
    <definedName name="f">#REF!</definedName>
    <definedName name="fd">'Specifications'!$G$19</definedName>
    <definedName name="fi">'Specifications'!$E$19</definedName>
    <definedName name="G" localSheetId="1">'Specifications'!$H$14</definedName>
    <definedName name="G">#REF!</definedName>
    <definedName name="Gd">'Specifications'!$G$14</definedName>
    <definedName name="Gi">'Specifications'!$E$14</definedName>
    <definedName name="Nc" localSheetId="1">'Specifications'!$H$25</definedName>
    <definedName name="Nc">#REF!</definedName>
    <definedName name="Nv" localSheetId="1">'Specifications'!$H$26</definedName>
    <definedName name="Nv">#REF!</definedName>
    <definedName name="Rp" localSheetId="1">'Specifications'!$H$16</definedName>
    <definedName name="Rp">#REF!</definedName>
    <definedName name="Rpd">'Specifications'!$G$16</definedName>
    <definedName name="Rpi">'Specifications'!$E$16</definedName>
    <definedName name="Rs" localSheetId="1">'Specifications'!$H$18</definedName>
    <definedName name="Rs">#REF!</definedName>
    <definedName name="Rsd">'Specifications'!$G$18</definedName>
    <definedName name="Rsi">'Specifications'!$E$18</definedName>
    <definedName name="t" localSheetId="1">'Specifications'!$H$21</definedName>
    <definedName name="t">#REF!</definedName>
    <definedName name="td">'Specifications'!$G$21</definedName>
    <definedName name="ti">'Specifications'!$E$21</definedName>
    <definedName name="V" localSheetId="1">'Specifications'!$H$22</definedName>
    <definedName name="V">#REF!</definedName>
    <definedName name="Vd">'Specifications'!$G$22</definedName>
    <definedName name="Vi">'Specifications'!$E$22</definedName>
    <definedName name="w">'Specifications'!$H$20</definedName>
    <definedName name="wd">'Specifications'!$G$20</definedName>
    <definedName name="wi">'Specifications'!$E$20</definedName>
  </definedNames>
  <calcPr fullCalcOnLoad="1"/>
</workbook>
</file>

<file path=xl/sharedStrings.xml><?xml version="1.0" encoding="utf-8"?>
<sst xmlns="http://schemas.openxmlformats.org/spreadsheetml/2006/main" count="123" uniqueCount="96">
  <si>
    <t>Also, this spreadsheet is setup to use specific numeric values (on the specifications sheet).</t>
  </si>
  <si>
    <t>this spreadsheet yields a series of output values for each of capacitance and loss:</t>
  </si>
  <si>
    <t>temperature coefficient, resolution (absolute and relative), non-linearity, accuracy and stability.</t>
  </si>
  <si>
    <t>Capacitance can be given in two ways: parallel (Cp) or series (Cs).</t>
  </si>
  <si>
    <t xml:space="preserve">Loss can be given in four ways: conductance (G), dissipation factor (D), </t>
  </si>
  <si>
    <t>parallel resistance (Rp) or series resistance (Rs).</t>
  </si>
  <si>
    <t>For input, each of these values should be coded in exactly one way, and the others left blank,</t>
  </si>
  <si>
    <t>To prevent accidental modification, all cells of this spreadsheet are locked except the inputs.</t>
  </si>
  <si>
    <t>The user may customize the spreadsheet to suit his needs, but the equations remain copyrighted.</t>
  </si>
  <si>
    <t>To avoid internet security concerns, this spreadsheet contains no macros.</t>
  </si>
  <si>
    <t>Specifications are subject to change without notice.</t>
  </si>
  <si>
    <t>Andeen-Hagerling, Inc.</t>
  </si>
  <si>
    <t>31200 Bainbridge Road</t>
  </si>
  <si>
    <t>Cleveland, Ohio 44139, U.S.A.</t>
  </si>
  <si>
    <t>Website: www.andeen-hagerling.com</t>
  </si>
  <si>
    <t>E-mail: info@andeen-hagerling.com</t>
  </si>
  <si>
    <t>Revised 9/10/2004 to correct Rs, G formulas</t>
  </si>
  <si>
    <t>Step</t>
  </si>
  <si>
    <t>#0</t>
  </si>
  <si>
    <t>Read the instructions on the instruction sheet of this spreadsheet</t>
  </si>
  <si>
    <t>#1</t>
  </si>
  <si>
    <t>Input a Capacitance (either Cp or Cs, but not both)</t>
  </si>
  <si>
    <t>#2</t>
  </si>
  <si>
    <t>Input a Loss (one of G, D, Rp or Rs)</t>
  </si>
  <si>
    <t>#3</t>
  </si>
  <si>
    <t>#4</t>
  </si>
  <si>
    <t>Input a Time</t>
  </si>
  <si>
    <t>#5</t>
  </si>
  <si>
    <t>#6</t>
  </si>
  <si>
    <t>Symbol</t>
  </si>
  <si>
    <t>Input</t>
  </si>
  <si>
    <t>Units</t>
  </si>
  <si>
    <t>Resolution</t>
  </si>
  <si>
    <t>Non-linearity</t>
  </si>
  <si>
    <t>Accuracy</t>
  </si>
  <si>
    <t>Stability</t>
  </si>
  <si>
    <t>Temperature</t>
  </si>
  <si>
    <t>ppm</t>
  </si>
  <si>
    <t>±ppm</t>
  </si>
  <si>
    <t>±ppm/year</t>
  </si>
  <si>
    <t>±ppm/°C</t>
  </si>
  <si>
    <t>Parallel</t>
  </si>
  <si>
    <t>Capacitance</t>
  </si>
  <si>
    <t>Cp</t>
  </si>
  <si>
    <t>pF</t>
  </si>
  <si>
    <t>Conductance</t>
  </si>
  <si>
    <t>G</t>
  </si>
  <si>
    <t>nS</t>
  </si>
  <si>
    <t>Dissipation</t>
  </si>
  <si>
    <t>D</t>
  </si>
  <si>
    <t>(unitless)</t>
  </si>
  <si>
    <t>Resistance</t>
  </si>
  <si>
    <t>Rp</t>
  </si>
  <si>
    <t>Series</t>
  </si>
  <si>
    <t>Cs</t>
  </si>
  <si>
    <t>Rs</t>
  </si>
  <si>
    <t>Misc.</t>
  </si>
  <si>
    <t>Frequency</t>
  </si>
  <si>
    <t>f</t>
  </si>
  <si>
    <t>kHz</t>
  </si>
  <si>
    <t>Angular Frequency</t>
  </si>
  <si>
    <t>Time</t>
  </si>
  <si>
    <t>t</t>
  </si>
  <si>
    <t>s</t>
  </si>
  <si>
    <t>Voltage</t>
  </si>
  <si>
    <t>V</t>
  </si>
  <si>
    <t>At</t>
  </si>
  <si>
    <t>(derived)</t>
  </si>
  <si>
    <t>Ac</t>
  </si>
  <si>
    <t>Nc</t>
  </si>
  <si>
    <t>Nv</t>
  </si>
  <si>
    <t>Derived Value</t>
  </si>
  <si>
    <t>Limited Value</t>
  </si>
  <si>
    <t>… and Specifications based on Limited Values from the table</t>
  </si>
  <si>
    <t>Input a Voltage</t>
  </si>
  <si>
    <t>Revised 9/18/2009 to correct Cp, G formulas, remove D &lt; 1 assumption, add range limits</t>
  </si>
  <si>
    <t>Specifications in the table are based on the range limited values.</t>
  </si>
  <si>
    <t>If all derived values are in range, the final step is highlighted in the color green.</t>
  </si>
  <si>
    <t>otherwise the step and input cells are highlighted in the color red and the spreadsheet refuses to work.</t>
  </si>
  <si>
    <t>Range limited values are produced from the derived values and highlighted in the color yellow if they differ.</t>
  </si>
  <si>
    <t>For portability, this spreadsheet is a Microsoft Excel 97-2002 &amp; 5.0/95 Workbook.</t>
  </si>
  <si>
    <r>
      <t>Frequency can be given in two ways: in the ordinary way (f) or as angular frequency (</t>
    </r>
    <r>
      <rPr>
        <sz val="10"/>
        <rFont val="Symbol"/>
        <family val="1"/>
      </rPr>
      <t>w</t>
    </r>
    <r>
      <rPr>
        <sz val="10"/>
        <rFont val="Arial"/>
        <family val="0"/>
      </rPr>
      <t>).</t>
    </r>
  </si>
  <si>
    <r>
      <t xml:space="preserve">Input a Frequency (either f or </t>
    </r>
    <r>
      <rPr>
        <sz val="10"/>
        <rFont val="Symbol"/>
        <family val="1"/>
      </rPr>
      <t>w</t>
    </r>
    <r>
      <rPr>
        <sz val="10"/>
        <rFont val="Arial"/>
        <family val="0"/>
      </rPr>
      <t>, but not both)</t>
    </r>
  </si>
  <si>
    <t>w</t>
  </si>
  <si>
    <t>Andeen-Hagerling 2700A / 2550A Specifications Spreadsheet Instructions</t>
  </si>
  <si>
    <t>Andeen-Hagerling 2700A / 2550A Specifications Spreadsheet</t>
  </si>
  <si>
    <t>Copyright 2001, 2004, 2009</t>
  </si>
  <si>
    <t>The AH 2700A and AH2550A product brochures give specifications in algebraic form.</t>
  </si>
  <si>
    <t>This spreadsheet gives these specification equations in machine readable form.</t>
  </si>
  <si>
    <t>Given a set of input values: capacitance, loss, frequency, time and voltage,</t>
  </si>
  <si>
    <r>
      <t>G</t>
    </r>
    <r>
      <rPr>
        <sz val="10"/>
        <rFont val="Symbol"/>
        <family val="1"/>
      </rPr>
      <t>W</t>
    </r>
  </si>
  <si>
    <r>
      <t>k</t>
    </r>
    <r>
      <rPr>
        <sz val="10"/>
        <rFont val="Symbol"/>
        <family val="1"/>
      </rPr>
      <t>W</t>
    </r>
  </si>
  <si>
    <t>k rad/s</t>
  </si>
  <si>
    <t>Derived values, for all variables, are calculated from the input values.</t>
  </si>
  <si>
    <t xml:space="preserve"> ®</t>
  </si>
  <si>
    <t>Read Values 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</si>
</sst>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7.00390625" style="0" customWidth="1"/>
  </cols>
  <sheetData>
    <row r="1" ht="12.75">
      <c r="A1" t="s">
        <v>84</v>
      </c>
    </row>
    <row r="3" ht="12.75">
      <c r="A3" t="s">
        <v>87</v>
      </c>
    </row>
    <row r="4" ht="12.75">
      <c r="A4" t="s">
        <v>88</v>
      </c>
    </row>
    <row r="5" ht="12.75">
      <c r="A5" t="s">
        <v>0</v>
      </c>
    </row>
    <row r="6" ht="12.75">
      <c r="A6" t="s">
        <v>89</v>
      </c>
    </row>
    <row r="7" ht="12.75">
      <c r="A7" t="s">
        <v>1</v>
      </c>
    </row>
    <row r="8" ht="12.75">
      <c r="A8" t="s">
        <v>2</v>
      </c>
    </row>
    <row r="10" ht="12.75">
      <c r="A10" t="s">
        <v>3</v>
      </c>
    </row>
    <row r="11" ht="12.75">
      <c r="A11" t="s">
        <v>4</v>
      </c>
    </row>
    <row r="12" ht="12.75">
      <c r="A12" t="s">
        <v>5</v>
      </c>
    </row>
    <row r="13" ht="12.75">
      <c r="A13" t="s">
        <v>81</v>
      </c>
    </row>
    <row r="15" ht="12.75">
      <c r="A15" t="s">
        <v>6</v>
      </c>
    </row>
    <row r="16" ht="12.75">
      <c r="A16" t="s">
        <v>78</v>
      </c>
    </row>
    <row r="17" ht="12.75">
      <c r="A17" t="s">
        <v>93</v>
      </c>
    </row>
    <row r="18" ht="12.75">
      <c r="A18" t="s">
        <v>79</v>
      </c>
    </row>
    <row r="19" ht="12.75">
      <c r="A19" t="s">
        <v>77</v>
      </c>
    </row>
    <row r="20" ht="12.75">
      <c r="A20" t="s">
        <v>76</v>
      </c>
    </row>
    <row r="22" ht="12.75">
      <c r="A22" t="s">
        <v>7</v>
      </c>
    </row>
    <row r="23" ht="12.75">
      <c r="A23" t="s">
        <v>8</v>
      </c>
    </row>
    <row r="25" ht="12.75">
      <c r="A25" t="s">
        <v>9</v>
      </c>
    </row>
    <row r="26" ht="12.75">
      <c r="A26" t="s">
        <v>80</v>
      </c>
    </row>
    <row r="28" ht="12.75">
      <c r="A28" t="s">
        <v>10</v>
      </c>
    </row>
    <row r="30" ht="12.75">
      <c r="A30" t="s">
        <v>86</v>
      </c>
    </row>
    <row r="31" ht="12.75">
      <c r="A31" t="s">
        <v>11</v>
      </c>
    </row>
    <row r="32" ht="12.75">
      <c r="A32" t="s">
        <v>12</v>
      </c>
    </row>
    <row r="33" ht="12.75">
      <c r="A33" t="s">
        <v>13</v>
      </c>
    </row>
    <row r="35" ht="12.75">
      <c r="A35" t="s">
        <v>14</v>
      </c>
    </row>
    <row r="36" ht="12.75">
      <c r="A36" t="s">
        <v>15</v>
      </c>
    </row>
    <row r="38" ht="12.75">
      <c r="A38" t="s">
        <v>16</v>
      </c>
    </row>
    <row r="39" ht="12.75">
      <c r="A39" t="s">
        <v>75</v>
      </c>
    </row>
    <row r="41" ht="12.75">
      <c r="A41" s="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E13" sqref="E13"/>
    </sheetView>
  </sheetViews>
  <sheetFormatPr defaultColWidth="9.140625" defaultRowHeight="12.75"/>
  <cols>
    <col min="1" max="1" width="7.57421875" style="1" customWidth="1"/>
    <col min="2" max="2" width="16.7109375" style="1" customWidth="1"/>
    <col min="3" max="3" width="7.57421875" style="1" customWidth="1"/>
    <col min="4" max="4" width="2.57421875" style="1" customWidth="1"/>
    <col min="5" max="5" width="10.00390625" style="1" customWidth="1"/>
    <col min="6" max="6" width="9.140625" style="1" customWidth="1"/>
    <col min="7" max="7" width="12.421875" style="1" customWidth="1"/>
    <col min="8" max="8" width="12.8515625" style="1" customWidth="1"/>
    <col min="9" max="9" width="13.00390625" style="1" customWidth="1"/>
    <col min="10" max="10" width="11.57421875" style="1" customWidth="1"/>
    <col min="11" max="11" width="16.00390625" style="1" customWidth="1"/>
    <col min="12" max="12" width="10.57421875" style="1" customWidth="1"/>
    <col min="13" max="13" width="11.7109375" style="1" customWidth="1"/>
    <col min="14" max="16384" width="9.140625" style="1" customWidth="1"/>
  </cols>
  <sheetData>
    <row r="1" ht="12.75">
      <c r="C1" s="1" t="s">
        <v>85</v>
      </c>
    </row>
    <row r="3" spans="2:5" ht="12.75">
      <c r="B3" s="6" t="b">
        <f>TRUE</f>
        <v>1</v>
      </c>
      <c r="C3" s="1" t="s">
        <v>17</v>
      </c>
      <c r="D3" s="1" t="s">
        <v>18</v>
      </c>
      <c r="E3" s="1" t="s">
        <v>19</v>
      </c>
    </row>
    <row r="4" spans="2:5" ht="12.75">
      <c r="B4" s="7" t="b">
        <f>AND(B3,(LEN(TRIM(E13))&lt;&gt;0)+(LEN(TRIM(E17))&lt;&gt;0)=1)</f>
        <v>1</v>
      </c>
      <c r="C4" s="1" t="s">
        <v>17</v>
      </c>
      <c r="D4" s="1" t="s">
        <v>20</v>
      </c>
      <c r="E4" s="1" t="s">
        <v>21</v>
      </c>
    </row>
    <row r="5" spans="2:5" ht="12.75">
      <c r="B5" s="7" t="b">
        <f>AND(B4,(LEN(TRIM(E14))&lt;&gt;0)+(LEN(TRIM(E15))&lt;&gt;0)+(LEN(TRIM(E16))&lt;&gt;0)+(LEN(TRIM(E18))&lt;&gt;0)=1)</f>
        <v>1</v>
      </c>
      <c r="C5" s="1" t="s">
        <v>17</v>
      </c>
      <c r="D5" s="1" t="s">
        <v>22</v>
      </c>
      <c r="E5" s="1" t="s">
        <v>23</v>
      </c>
    </row>
    <row r="6" spans="2:5" ht="12.75">
      <c r="B6" s="7" t="b">
        <f>AND(B5,(LEN(TRIM(E19))&lt;&gt;0)+(LEN(TRIM(E20))&lt;&gt;0)=1)</f>
        <v>1</v>
      </c>
      <c r="C6" s="1" t="s">
        <v>17</v>
      </c>
      <c r="D6" s="1" t="s">
        <v>24</v>
      </c>
      <c r="E6" s="1" t="s">
        <v>82</v>
      </c>
    </row>
    <row r="7" spans="2:5" ht="12.75">
      <c r="B7" s="7" t="b">
        <f>AND(B6,(LEN(TRIM(E21))&lt;&gt;0))</f>
        <v>1</v>
      </c>
      <c r="C7" s="1" t="s">
        <v>17</v>
      </c>
      <c r="D7" s="1" t="s">
        <v>25</v>
      </c>
      <c r="E7" s="1" t="s">
        <v>26</v>
      </c>
    </row>
    <row r="8" spans="2:5" ht="12.75">
      <c r="B8" s="7" t="b">
        <f>AND(B7,(LEN(TRIM(E22))&lt;&gt;0))</f>
        <v>1</v>
      </c>
      <c r="C8" s="1" t="s">
        <v>17</v>
      </c>
      <c r="D8" s="1" t="s">
        <v>27</v>
      </c>
      <c r="E8" s="1" t="s">
        <v>74</v>
      </c>
    </row>
    <row r="9" spans="2:9" ht="12.75">
      <c r="B9" s="6" t="b">
        <f>AND(B8,$G$13=$H$13,$G$14=$H$14,$G$15=$H$15,$G$16=$H$16,$G$17=$H$17,$G$18=$H$18,$G$19=$H$19,$G$20=$H$20,$G$21=$H$21,$G$22=$H$22,$G$23=$H$23,$G$24=$H$24,$G$25=$H$25,$G$26=$H$26)</f>
        <v>1</v>
      </c>
      <c r="C9" s="1" t="s">
        <v>17</v>
      </c>
      <c r="D9" s="1" t="s">
        <v>28</v>
      </c>
      <c r="E9" s="8" t="s">
        <v>94</v>
      </c>
      <c r="F9" s="8" t="s">
        <v>94</v>
      </c>
      <c r="G9" s="1" t="s">
        <v>95</v>
      </c>
      <c r="I9" s="1" t="s">
        <v>73</v>
      </c>
    </row>
    <row r="11" spans="3:14" ht="12.75">
      <c r="C11" s="1" t="s">
        <v>29</v>
      </c>
      <c r="E11" s="1" t="s">
        <v>30</v>
      </c>
      <c r="F11" s="1" t="s">
        <v>31</v>
      </c>
      <c r="G11" s="1" t="s">
        <v>71</v>
      </c>
      <c r="H11" s="1" t="s">
        <v>72</v>
      </c>
      <c r="I11" s="1" t="s">
        <v>32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</row>
    <row r="12" spans="9:14" ht="12.75">
      <c r="I12" s="1" t="s">
        <v>31</v>
      </c>
      <c r="J12" s="1" t="s">
        <v>37</v>
      </c>
      <c r="K12" s="1" t="s">
        <v>38</v>
      </c>
      <c r="L12" s="1" t="s">
        <v>38</v>
      </c>
      <c r="M12" s="1" t="s">
        <v>39</v>
      </c>
      <c r="N12" s="1" t="s">
        <v>40</v>
      </c>
    </row>
    <row r="13" spans="1:14" ht="12.75">
      <c r="A13" s="1" t="s">
        <v>41</v>
      </c>
      <c r="B13" s="1" t="s">
        <v>42</v>
      </c>
      <c r="C13" s="1" t="s">
        <v>43</v>
      </c>
      <c r="D13" s="1" t="s">
        <v>20</v>
      </c>
      <c r="E13" s="5">
        <v>100</v>
      </c>
      <c r="F13" s="1" t="s">
        <v>44</v>
      </c>
      <c r="G13" s="1">
        <f>IF($B$6,IF(LEN(TRIM(Cpi)),Cpi,Csi/(Dd^2+1)),VALUE(""))</f>
        <v>100</v>
      </c>
      <c r="H13" s="1">
        <f>MIN(MAX(Cpd,IF(D&gt;=0.01,-0.0016/D,IF(D&lt;=-0.1,0.0019/D,-0.15))*10^6),IF(D&gt;=0.01,10/(f+D/0.0019),IF(D&lt;=-0.001,-0.0016/D,MIN(1.5,10/(f+D/0.0019))))*10^6)</f>
        <v>100</v>
      </c>
      <c r="I13" s="1">
        <f>(Cp/20*(2+1/f)+1.5/V*(4+1/f+5*Nc)+Nv*Cp/V+50*G/w+(1+10*Ac)*f^2*Cp/500*(1+1700/(200+Cp*V)))*10^-6</f>
        <v>1.733373848256489E-05</v>
      </c>
      <c r="J13" s="2">
        <f>1/20*(2+1/f)+1.5/Cp/V*(4+1/f+5*Nc)+Nv/V+50*D+(1+10*Ac)*f^2/500*(1+1700/(200+Cp*V))</f>
        <v>0.17333738482564898</v>
      </c>
      <c r="K13" s="2">
        <f>1/20*(2+1/f)+1.5/Cp/V*(4+1/f)+50*D+f^2/200*(1+1700/(200+Cp*V))+1.5*10^-6*f^2.5*Cp</f>
        <v>0.17015000000000005</v>
      </c>
      <c r="L13" s="2">
        <f>1/2*(8+1/f+f)+1.5/Cp/V*(4+1/f)+200*D+f^2/100*(1+1700/(200+Cp*V))+At*(f+1/f)+3*10^-6*f^2.5*Cp+f^2/4/Cp</f>
        <v>5.0478</v>
      </c>
      <c r="M13" s="2">
        <f>1/10*(8+1/f+f)+1/2/Cp/V*(4+1/f)+30*D+10^-6*f^2.5*Cp+f^2/20/Cp</f>
        <v>1.0052666666666665</v>
      </c>
      <c r="N13" s="3">
        <f>1/400*(8+1/f+f)+20*D+At/33*(f+1/f)+200/(2+6*Cp*V*(2+1/f))+10^-7*f^2.5*Cp+f^2/100/Cp</f>
        <v>0.034516858751203625</v>
      </c>
    </row>
    <row r="14" spans="2:14" ht="12.75">
      <c r="B14" s="1" t="s">
        <v>45</v>
      </c>
      <c r="C14" s="1" t="s">
        <v>46</v>
      </c>
      <c r="D14" s="1" t="s">
        <v>22</v>
      </c>
      <c r="E14" s="5"/>
      <c r="F14" s="1" t="s">
        <v>47</v>
      </c>
      <c r="G14" s="1">
        <f>IF($B$6,IF(LEN(TRIM(Gi)),Gi,wd*Cpd*Dd),VALUE(""))</f>
        <v>0.06283185307179587</v>
      </c>
      <c r="H14" s="1">
        <f>w*Cp*D</f>
        <v>0.06283185307179587</v>
      </c>
      <c r="I14" s="1">
        <f>(50*G+w*(Cp/20*(2+1/f)+1.5/V*(4+1/f+5*Nc)+Nv*Cp/V+8*10^-6*f*Cp^2+(3+50*Ac)*f*Cp/50*(1+1700/(200+Cp*V))))*10^-6</f>
        <v>0.00018229869534000263</v>
      </c>
      <c r="J14" s="2">
        <f>50+w/G*(Cp/20*(2+1/f)+1.5/V*(4+1/f+5*Nc)+Nv*Cp/V+8*10^-6*f*Cp^2+(3+50*Ac)*f*Cp/50*(1+1700/(200+Cp*V)))</f>
        <v>2901.3738482564886</v>
      </c>
      <c r="K14" s="2">
        <f>50+w/G*(Cp/20*(2+1/f)+1.5/V*(4+1/f)+8*10^-6*f*Cp^2+f*Cp/6*(1+1700/(200+Cp*V)))+1.2*10^-4*w*f*Cp^2/G</f>
        <v>5061.333333333333</v>
      </c>
      <c r="L14" s="2">
        <f>200+w/G*(Cp/2*(2+1/f+f)+1.5/V*(4+1/f)+f*Cp^2/3300+f*Cp/3*(1+1700/(200+Cp*V))+At*Cp*(f+1/f))+w*f/G*(2*10^-4*Cp^2+f/4)</f>
        <v>27444.696969696965</v>
      </c>
      <c r="M14" s="2">
        <f>30+w/G*(Cp/10*(2+1/f+f)+1/2/V*(4+1/f)+5*10^-5*f*Cp^2)+w*f/G*(3*10^-5*Cp^2+f/20)</f>
        <v>4131.666666666666</v>
      </c>
      <c r="N14" s="3">
        <f>20+w*Cp/G*(3/400*(2+1/f+f)+3*10^-6*f*Cp+At/33*(f+1/f))+400/(4+V*G*(2+1/f)/w)+w*f/G*(2*10^-6*Cp^2+f/100)</f>
        <v>415.8876404494382</v>
      </c>
    </row>
    <row r="15" spans="2:14" ht="12.75">
      <c r="B15" s="1" t="s">
        <v>48</v>
      </c>
      <c r="C15" s="1" t="s">
        <v>49</v>
      </c>
      <c r="D15" s="1" t="s">
        <v>22</v>
      </c>
      <c r="E15" s="5">
        <v>0.0001</v>
      </c>
      <c r="F15" s="1" t="s">
        <v>50</v>
      </c>
      <c r="G15" s="1">
        <f>IF($B$6,IF(LEN(TRIM(Di)),Di,IF(LEN(TRIM(Cpi)),IF(LEN(TRIM(Rsi)),(1+SQRT(1-(2*wd*Cpi*Rsi*10^-6)^2))/(2*wd*Cpi*Rsi*10^-6),IF(LEN(TRIM(Rpi)),1/Rpi,Gi)/wd/Cpi),IF(LEN(TRIM(Rsi)),wd*Csi*Rsi*10^-6,(1+SQRT(1-(wd*Csi*IF(LEN(TRIM(Rpi)),Rpi,1/Gi)/2)^-2))*(wd*Csi*IF(LEN(TRIM(Rpi)),Rpi,1/Gi)/2)))),VALUE(""))</f>
        <v>0.0001</v>
      </c>
      <c r="H15" s="1">
        <f>MIN(MAX(Dd,-300000),300000)</f>
        <v>0.0001</v>
      </c>
      <c r="I15" s="1">
        <f>SQRT(1+D^2)*(50*D+1/20*(2+1/f)+1.5/Cp/V*(4+1/f+5*Nc)+Nv/V+8*10^-6*f*Cp+(3+50*Ac)*f/50*(1+1700/(200+Cp*V)))*10^-6</f>
        <v>2.901373862763359E-07</v>
      </c>
      <c r="J15" s="2">
        <f>SQRT(1+D^2)/D*(50*D+1/20*(2+1/f)+1.5/Cp/V*(4+1/f+5*Nc)+Nv/V+8*10^-6*f*Cp+(3+50*Ac)*f/50*(1+1700/(200+Cp*V)))</f>
        <v>2901.373862763359</v>
      </c>
      <c r="K15" s="2">
        <f>SQRT(1+D^2)/D*(50*D+1/20*(2+1/f)+1.5/Cp/V*(4+1/f)+8*10^-6*f*Cp+f/6*(1+1700/(200+Cp*V)))+SQRT(1+D^2)/D*1.2*10^-4*f*Cp</f>
        <v>5061.3333586399995</v>
      </c>
      <c r="L15" s="2">
        <f>SQRT(1+D^2)/D*(200*D+1/2*(2+1/f+f)+1.5/Cp/V*(4+1/f)+f*Cp/3300+f/3*(1+1700/(200+Cp*V))+At*(f+1/f))+SQRT(1+D^2)*f/D*(2*10^-4*Cp+f/4/Cp)</f>
        <v>27444.69710692045</v>
      </c>
      <c r="M15" s="2">
        <f>SQRT(1+D^2)/D*(30*D+1/10*(2+1/f+f)+1/2/Cp/V*(4+1/f)+5*10^-5*f*Cp)+SQRT(1+D^2)*f/D*(3*10^-5*Cp+f/20/Cp)</f>
        <v>4131.666687325</v>
      </c>
      <c r="N15" s="3">
        <f>SQRT(1+D^2)/D*(20*D+3/400*(2+1/f+f)+3*10^-6*f*Cp+At/33*(f+1/f))+200/(2+6*Cp*V*(2+1/f))+400/(4+Cp*V*D*(2+1/f))+SQRT(1+D^2)*f/D*(2*10^-6*Cp+f/100/Cp)</f>
        <v>415.8950489381894</v>
      </c>
    </row>
    <row r="16" spans="2:14" ht="12.75">
      <c r="B16" s="1" t="s">
        <v>51</v>
      </c>
      <c r="C16" s="1" t="s">
        <v>52</v>
      </c>
      <c r="D16" s="1" t="s">
        <v>22</v>
      </c>
      <c r="E16" s="5"/>
      <c r="F16" s="1" t="s">
        <v>90</v>
      </c>
      <c r="G16" s="1">
        <f>IF($B$6,IF(LEN(TRIM(Rpi)),Rpi,1/wd/Cpd/Dd),VALUE(""))</f>
        <v>15.915494309189535</v>
      </c>
      <c r="H16" s="1">
        <f>1/w/Cp/D</f>
        <v>15.915494309189535</v>
      </c>
      <c r="I16" s="1">
        <f>(50*Rp+w*Rp^2*(Cp/20*(2+1/f)+1.5/V*(4+1/f+5*Nc)+Nv*Cp/V+8*10^-6*f*Cp^2+(3+50*Ac)*f*Cp/50*(1+1700/(200+Cp*V))))*10^-6</f>
        <v>0.04617679897075749</v>
      </c>
      <c r="J16" s="2">
        <f>50+w*Rp*(Cp/20*(2+1/f)+1.5/V*(4+1/f+5*Nc)+Nv*Cp/V+8*10^-6*f*Cp^2+(3+50*Ac)*f*Cp/50*(1+1700/(200+Cp*V)))</f>
        <v>2901.373848256489</v>
      </c>
      <c r="K16" s="2">
        <f>50+w*Rp*(Cp/20*(2+1/f)+1.5/V*(4+1/f)+8*10^-6*f*Cp^2+f*Cp/6*(1+1700/(200+Cp*V)))+1.2*10^-4*w*f*Rp*Cp^2</f>
        <v>5061.333333333333</v>
      </c>
      <c r="L16" s="2">
        <f>200+w*Rp*(Cp/2*(2+1/f+f)+1.5/V*(4+1/f)+f*Cp^2/3300+f*Cp/3*(1+1700/(200+Cp*V))+At*Cp*(f+1/f))+w*Rp*f*(2*10^-4*Cp^2+f/4)</f>
        <v>27444.696969696968</v>
      </c>
      <c r="M16" s="2">
        <f>30+w*Rp*(Cp/10*(2+1/f+f)+1/2/V*(4+1/f)+5*10^-5*f*Cp^2)+w*Rp*f*(3*10^-5*Cp^2+f/20)</f>
        <v>4131.666666666666</v>
      </c>
      <c r="N16" s="3">
        <f>20+w*Cp*Rp*(3/400*(2+1/f+f)+3*10^-6*f*Cp+At/33*(f+1/f))+400/(4+V*(2+1/f)/w/Rp)+w*Rp*f*(2*10^-6*Cp^2+f/100)</f>
        <v>415.88764044943827</v>
      </c>
    </row>
    <row r="17" spans="1:14" ht="12.75">
      <c r="A17" s="1" t="s">
        <v>53</v>
      </c>
      <c r="B17" s="1" t="s">
        <v>42</v>
      </c>
      <c r="C17" s="1" t="s">
        <v>54</v>
      </c>
      <c r="D17" s="1" t="s">
        <v>20</v>
      </c>
      <c r="E17" s="5"/>
      <c r="F17" s="1" t="s">
        <v>44</v>
      </c>
      <c r="G17" s="1">
        <f>IF($B$6,IF(LEN(TRIM(Csi)),Csi,Cpd*(Dd^2+1)),VALUE(""))</f>
        <v>100.000001</v>
      </c>
      <c r="H17" s="1">
        <f>Cp*(D^2+1)</f>
        <v>100.000001</v>
      </c>
      <c r="I17" s="1">
        <f>(Cs/20*(2+1/f)+1.5/V*(4+1/f+5*Nc)*(1+D^2)+Nv*Cs/V+50*D*Cs+(1+10*Ac)*f^2*Cs/500*(1+1700/(200+Cp*V)))*10^-6</f>
        <v>1.7333738655902277E-05</v>
      </c>
      <c r="J17" s="2">
        <f>1/20*(2+1/f)+1.5/Cs/V*(4+1/f+5*Nc)*(1+D^2)+Nv/V+50*D+(1+10*Ac)*f^2/500*(1+1700/(200+Cp*V))</f>
        <v>0.17333738482564898</v>
      </c>
      <c r="K17" s="2">
        <f>1/20*(2+1/f)+1.5/Cs/V*(4+1/f)*(1+D^2)+50*D+f^2/200*(1+1700/(200+Cp*V))+1.5*10^-6*f^2.5*Cp</f>
        <v>0.17015000000000005</v>
      </c>
      <c r="L17" s="2">
        <f>1/2*(8+1/f+f)+1.5/Cs/V*(4+1/f)*(1+D^2)+200*D+f^2/100*(1+1700/(200+Cp*V))+At*(f+1/f)+3*10^-6*f^2.5*Cp+f^2*(1+D^2)/4/Cs</f>
        <v>5.0478</v>
      </c>
      <c r="M17" s="2">
        <f>1/10*(8+1/f+f)+1/2/Cs/V*(4+1/f)*(1+D^2)+30*D+10^-6*f^2.5*Cp+f^2*(1+D^2)/20/Cs</f>
        <v>1.0052666666666665</v>
      </c>
      <c r="N17" s="3">
        <f>1/400*(8+1/f+f)+20*D+At/33*(f+1/f)+200/(2+6*Cs*V*(2+1/f)/(1+D^2))+10^-7*f^2.5*Cp+f^2*(1+D^2)/100/Cs</f>
        <v>0.034516858751203625</v>
      </c>
    </row>
    <row r="18" spans="2:14" ht="12.75">
      <c r="B18" s="1" t="s">
        <v>51</v>
      </c>
      <c r="C18" s="1" t="s">
        <v>55</v>
      </c>
      <c r="D18" s="1" t="s">
        <v>22</v>
      </c>
      <c r="E18" s="5"/>
      <c r="F18" s="1" t="s">
        <v>91</v>
      </c>
      <c r="G18" s="1">
        <f>IF($B$6,IF(LEN(TRIM(Rsi)),Rsi,Dd/wd/Csd/10^-6),VALUE(""))</f>
        <v>0.15915494150034593</v>
      </c>
      <c r="H18" s="1">
        <f>D/w/Cs/10^-6</f>
        <v>0.15915494150034593</v>
      </c>
      <c r="I18" s="1">
        <f>(50*Rs+1.3+Rs/D*(1/20*(2+1/f)+1.5/Cs/V*(4+1/f+5*Nc)*(1+D^2)+Nv/V+(3+50*Ac)*f/50*(1+1700/(200+Cp*V))))*10^-6</f>
        <v>0.0004617947455578923</v>
      </c>
      <c r="J18" s="2">
        <f>50+1.3/Rs+1/D*(1/20*(2+1/f)+1.5/Cs/V*(4+1/f+5*Nc)*(1+D^2)+Nv/V+(3+50*Ac)*f/50*(1+1700/(200+Cp*V)))</f>
        <v>2901.5419892375044</v>
      </c>
      <c r="K18" s="2">
        <f>50+1.3/Rs+1/D*(1/20*(2+1/f)+1.5/Cs/V*(4+1/f)*(1+D^2)+f/6*(1+1700/(200+Cp*V)))+20/Rs</f>
        <v>5067.165181714578</v>
      </c>
      <c r="L18" s="2">
        <f>200+50/Rs+1/D*(1/2*(2+1/f+f)+1.5/Cs/V*(4+1/f)*(1+D^2)+f/3*(1+1700/(200+Cp*V))+At*(f+1/f))+30/Rs+f^2*(1+D^2)/4/D/Cs</f>
        <v>27444.321496267577</v>
      </c>
      <c r="M18" s="2">
        <f>30+8/Rs+1/D*(1/10*(2+1/f+f)+1/2/Cs/V*(4+1/f)*(1+D^2))+5/Rs+f^2*(1+D^2)/20/D/Cs</f>
        <v>4133.348076476816</v>
      </c>
      <c r="N18" s="3">
        <f>20+0.5/Rs+1/D*(3/400*(2+1/f+f)+At/33*(f+1/f))+400/(4+Cs*V*D*(2+1/f)/(1+D^2))+0.3/Rs+f^2*(1+D^2)/100/D/Cs</f>
        <v>415.91418874544735</v>
      </c>
    </row>
    <row r="19" spans="1:8" ht="12.75">
      <c r="A19" s="1" t="s">
        <v>56</v>
      </c>
      <c r="B19" s="1" t="s">
        <v>57</v>
      </c>
      <c r="C19" s="1" t="s">
        <v>58</v>
      </c>
      <c r="D19" s="1" t="s">
        <v>24</v>
      </c>
      <c r="E19" s="5">
        <v>1</v>
      </c>
      <c r="F19" s="1" t="s">
        <v>59</v>
      </c>
      <c r="G19" s="1">
        <f>IF($B$6,IF(LEN(TRIM(fi)),fi,wi/2/PI()),VALUE(""))</f>
        <v>1</v>
      </c>
      <c r="H19" s="1">
        <f>MIN(MAX(fd,0.05),20)</f>
        <v>1</v>
      </c>
    </row>
    <row r="20" spans="2:8" ht="12.75">
      <c r="B20" s="1" t="s">
        <v>60</v>
      </c>
      <c r="C20" s="8" t="s">
        <v>83</v>
      </c>
      <c r="D20" s="1" t="s">
        <v>24</v>
      </c>
      <c r="E20" s="5"/>
      <c r="F20" s="1" t="s">
        <v>92</v>
      </c>
      <c r="G20" s="1">
        <f>IF($B$6,IF(LEN(TRIM(wi)),wi,fi*2*PI()),VALUE(""))</f>
        <v>6.283185307179586</v>
      </c>
      <c r="H20" s="1">
        <f>f*2*PI()</f>
        <v>6.283185307179586</v>
      </c>
    </row>
    <row r="21" spans="2:8" ht="12.75">
      <c r="B21" s="1" t="s">
        <v>61</v>
      </c>
      <c r="C21" s="1" t="s">
        <v>62</v>
      </c>
      <c r="D21" s="1" t="s">
        <v>25</v>
      </c>
      <c r="E21" s="5">
        <v>1</v>
      </c>
      <c r="F21" s="1" t="s">
        <v>63</v>
      </c>
      <c r="G21" s="1">
        <f>IF($B$7,ti,VALUE(""))</f>
        <v>1</v>
      </c>
      <c r="H21" s="1">
        <f>MAX(td,IF(f&lt;0.6,0.82+0.82/f,0.027+0.011/f))</f>
        <v>1</v>
      </c>
    </row>
    <row r="22" spans="2:8" ht="12.75">
      <c r="B22" s="1" t="s">
        <v>64</v>
      </c>
      <c r="C22" s="1" t="s">
        <v>65</v>
      </c>
      <c r="D22" s="1" t="s">
        <v>27</v>
      </c>
      <c r="E22" s="5">
        <v>15</v>
      </c>
      <c r="F22" s="1" t="s">
        <v>65</v>
      </c>
      <c r="G22" s="1">
        <f>IF($B$8,Vi,VALUE(""))</f>
        <v>15</v>
      </c>
      <c r="H22" s="1">
        <f>MIN(f,1)*MIN(MAX(Vd/MIN(f,1),0.0003),LOOKUP(MAX(0.001,15*MIN(IF(Cp&lt;0,-11,110)/Cp,IF(G&lt;0,-0.8,8)*f/G)),{0.001,0.003,0.01,0.03,0.1,0.25,0.75,1.5,3,7.5,15}))</f>
        <v>15</v>
      </c>
    </row>
    <row r="23" spans="3:8" ht="12.75">
      <c r="C23" s="1" t="s">
        <v>66</v>
      </c>
      <c r="E23" s="1" t="s">
        <v>67</v>
      </c>
      <c r="G23" s="1">
        <f>LOOKUP(-MIN(0.25,Vd/MIN(fd,1)),{-0.25,-0.1,-0.03,-0.01,-0.003,-0.001},{0,5,10,15,20,30})</f>
        <v>0</v>
      </c>
      <c r="H23" s="1">
        <f>LOOKUP(-MIN(0.25,V/MIN(f,1)),{-0.25,-0.1,-0.03,-0.01,-0.003,-0.001},{0,5,10,15,20,30})</f>
        <v>0</v>
      </c>
    </row>
    <row r="24" spans="3:8" ht="12.75">
      <c r="C24" s="1" t="s">
        <v>68</v>
      </c>
      <c r="E24" s="1" t="s">
        <v>67</v>
      </c>
      <c r="G24" s="1">
        <f>LOOKUP(-MIN(0.25,Vd/MIN(fd,1)),{-0.25,-0.1,-0.03,-0.01,-0.003,-0.001},{0,0.01,0.03,0.1,0.3,1})</f>
        <v>0</v>
      </c>
      <c r="H24" s="1">
        <f>LOOKUP(-MIN(0.25,V/MIN(f,1)),{-0.25,-0.1,-0.03,-0.01,-0.003,-0.001},{0,0.01,0.03,0.1,0.3,1})</f>
        <v>0</v>
      </c>
    </row>
    <row r="25" spans="3:8" ht="12.75">
      <c r="C25" s="1" t="s">
        <v>69</v>
      </c>
      <c r="E25" s="1" t="s">
        <v>67</v>
      </c>
      <c r="G25" s="1">
        <f>1.4*SQRT(1/td)</f>
        <v>1.4</v>
      </c>
      <c r="H25" s="1">
        <f>1.4*SQRT(1/t)</f>
        <v>1.4</v>
      </c>
    </row>
    <row r="26" spans="3:8" ht="12.75">
      <c r="C26" s="1" t="s">
        <v>70</v>
      </c>
      <c r="E26" s="1" t="s">
        <v>67</v>
      </c>
      <c r="G26" s="1">
        <f>0.01*(1+1/10/fd)*SQRT((Rsd+10)*(1+Dd^2)/td)</f>
        <v>0.0350607723847339</v>
      </c>
      <c r="H26" s="1">
        <f>0.01*(1+1/10/f)*SQRT((Rs+10)*(1+D^2)/t)</f>
        <v>0.0350607723847339</v>
      </c>
    </row>
    <row r="30" ht="12.75">
      <c r="E30" s="4"/>
    </row>
  </sheetData>
  <sheetProtection sheet="1" objects="1" scenarios="1"/>
  <conditionalFormatting sqref="H13:H22 H25:H26">
    <cfRule type="expression" priority="1" dxfId="0" stopIfTrue="1">
      <formula>G13&lt;&gt;H13</formula>
    </cfRule>
  </conditionalFormatting>
  <conditionalFormatting sqref="E4:J4 E13 E17">
    <cfRule type="expression" priority="2" dxfId="1" stopIfTrue="1">
      <formula>AND($B$3,NOT($B$4))</formula>
    </cfRule>
  </conditionalFormatting>
  <conditionalFormatting sqref="E5:J5 E14:E16 E18">
    <cfRule type="expression" priority="3" dxfId="1" stopIfTrue="1">
      <formula>AND($B$4,NOT($B$5))</formula>
    </cfRule>
  </conditionalFormatting>
  <conditionalFormatting sqref="E6:J6 E19:E20">
    <cfRule type="expression" priority="4" dxfId="1" stopIfTrue="1">
      <formula>AND($B$5,NOT($B$6))</formula>
    </cfRule>
  </conditionalFormatting>
  <conditionalFormatting sqref="E7:J7 E21">
    <cfRule type="expression" priority="5" dxfId="1" stopIfTrue="1">
      <formula>AND($B$6,NOT($B$7))</formula>
    </cfRule>
  </conditionalFormatting>
  <conditionalFormatting sqref="E8:J8 E22">
    <cfRule type="expression" priority="6" dxfId="1" stopIfTrue="1">
      <formula>AND($B$7,NOT($B$8))</formula>
    </cfRule>
  </conditionalFormatting>
  <conditionalFormatting sqref="E9:L9">
    <cfRule type="expression" priority="7" dxfId="0" stopIfTrue="1">
      <formula>AND($B$8,NOT($B$9))</formula>
    </cfRule>
    <cfRule type="expression" priority="8" dxfId="2" stopIfTrue="1">
      <formula>$B$9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Andeen-Hagerling,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AH2700A / 2550A Specifications</dc:title>
  <dc:subject/>
  <dc:creator/>
  <cp:keywords/>
  <dc:description/>
  <cp:lastModifiedBy>Preferred Customer</cp:lastModifiedBy>
  <cp:lastPrinted>2009-09-21T21:19:58Z</cp:lastPrinted>
  <dcterms:created xsi:type="dcterms:W3CDTF">2001-08-13T16:38:40Z</dcterms:created>
  <dcterms:modified xsi:type="dcterms:W3CDTF">2009-12-21T19:23:58Z</dcterms:modified>
  <cp:category/>
  <cp:version/>
  <cp:contentType/>
  <cp:contentStatus/>
</cp:coreProperties>
</file>